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0" windowWidth="14235" windowHeight="5805"/>
  </bookViews>
  <sheets>
    <sheet name="Пенсии ФСД ЕДВ" sheetId="1" r:id="rId1"/>
  </sheets>
  <definedNames>
    <definedName name="_xlnm.Print_Area" localSheetId="0">'Пенсии ФСД ЕДВ'!$A$1:$L$39</definedName>
  </definedNames>
  <calcPr calcId="144525"/>
</workbook>
</file>

<file path=xl/calcChain.xml><?xml version="1.0" encoding="utf-8"?>
<calcChain xmlns="http://schemas.openxmlformats.org/spreadsheetml/2006/main">
  <c r="Q45" i="1" l="1"/>
  <c r="Q60" i="1" l="1"/>
  <c r="Q35" i="1"/>
  <c r="Q33" i="1"/>
  <c r="H28" i="1" l="1"/>
  <c r="H27" i="1"/>
  <c r="H26" i="1"/>
  <c r="H30" i="1"/>
  <c r="H25" i="1"/>
  <c r="H24" i="1"/>
  <c r="H23" i="1"/>
  <c r="H32" i="1"/>
  <c r="H21" i="1"/>
  <c r="H20" i="1"/>
  <c r="H19" i="1"/>
  <c r="H18" i="1"/>
  <c r="H17" i="1"/>
  <c r="H16" i="1"/>
  <c r="H15" i="1"/>
  <c r="H14" i="1"/>
  <c r="H13" i="1"/>
  <c r="H31" i="1"/>
  <c r="H12" i="1"/>
  <c r="H11" i="1"/>
  <c r="H10" i="1"/>
  <c r="H9" i="1"/>
  <c r="H8" i="1"/>
  <c r="G28" i="1" l="1"/>
  <c r="G23" i="1"/>
  <c r="G32" i="1"/>
  <c r="G19" i="1"/>
  <c r="G10" i="1"/>
  <c r="F26" i="1" l="1"/>
  <c r="F30" i="1"/>
  <c r="F25" i="1"/>
  <c r="F24" i="1"/>
  <c r="F23" i="1"/>
  <c r="F32" i="1"/>
  <c r="F19" i="1"/>
  <c r="F18" i="1"/>
  <c r="F17" i="1"/>
  <c r="F16" i="1"/>
  <c r="F15" i="1"/>
  <c r="F14" i="1"/>
  <c r="F13" i="1"/>
  <c r="F31" i="1"/>
  <c r="F12" i="1"/>
  <c r="F10" i="1"/>
  <c r="F9" i="1"/>
  <c r="F8" i="1"/>
  <c r="K30" i="1" l="1"/>
  <c r="K25" i="1"/>
  <c r="K24" i="1"/>
  <c r="K23" i="1"/>
  <c r="K32" i="1"/>
  <c r="K16" i="1"/>
  <c r="K15" i="1"/>
  <c r="K31" i="1"/>
  <c r="K8" i="1"/>
  <c r="E28" i="1"/>
  <c r="D28" i="1"/>
  <c r="E27" i="1"/>
  <c r="E26" i="1"/>
  <c r="D26" i="1"/>
  <c r="E30" i="1"/>
  <c r="D30" i="1"/>
  <c r="E25" i="1"/>
  <c r="D25" i="1"/>
  <c r="E24" i="1"/>
  <c r="D24" i="1"/>
  <c r="E23" i="1"/>
  <c r="D23" i="1"/>
  <c r="E32" i="1"/>
  <c r="D32" i="1"/>
  <c r="E22" i="1"/>
  <c r="E21" i="1"/>
  <c r="D21" i="1"/>
  <c r="E20" i="1"/>
  <c r="D20" i="1"/>
  <c r="E19" i="1"/>
  <c r="D19" i="1"/>
  <c r="E18" i="1"/>
  <c r="E17" i="1"/>
  <c r="D17" i="1"/>
  <c r="E16" i="1"/>
  <c r="D16" i="1"/>
  <c r="E15" i="1"/>
  <c r="E14" i="1"/>
  <c r="D14" i="1"/>
  <c r="E13" i="1"/>
  <c r="D13" i="1"/>
  <c r="E31" i="1"/>
  <c r="D31" i="1"/>
  <c r="E12" i="1"/>
  <c r="D12" i="1"/>
  <c r="E11" i="1"/>
  <c r="E10" i="1"/>
  <c r="D10" i="1"/>
  <c r="E9" i="1"/>
  <c r="D9" i="1"/>
  <c r="E8" i="1"/>
  <c r="D8" i="1"/>
  <c r="C28" i="1"/>
  <c r="C27" i="1"/>
  <c r="C26" i="1"/>
  <c r="C30" i="1"/>
  <c r="B30" i="1"/>
  <c r="C25" i="1"/>
  <c r="C24" i="1"/>
  <c r="C23" i="1"/>
  <c r="C32" i="1"/>
  <c r="I32" i="1" s="1"/>
  <c r="Q32" i="1" s="1"/>
  <c r="B32" i="1"/>
  <c r="C22" i="1"/>
  <c r="C21" i="1"/>
  <c r="B21" i="1"/>
  <c r="C20" i="1"/>
  <c r="B20" i="1"/>
  <c r="C19" i="1"/>
  <c r="C18" i="1"/>
  <c r="C17" i="1"/>
  <c r="C16" i="1"/>
  <c r="C15" i="1"/>
  <c r="C14" i="1"/>
  <c r="C13" i="1"/>
  <c r="B13" i="1"/>
  <c r="C31" i="1"/>
  <c r="C12" i="1"/>
  <c r="C11" i="1"/>
  <c r="C10" i="1"/>
  <c r="B10" i="1"/>
  <c r="C9" i="1"/>
  <c r="C8" i="1"/>
  <c r="B8" i="1"/>
  <c r="I8" i="1" l="1"/>
  <c r="Q8" i="1" s="1"/>
  <c r="I31" i="1"/>
  <c r="Q31" i="1" s="1"/>
  <c r="I30" i="1"/>
  <c r="Q30" i="1" s="1"/>
  <c r="I28" i="1"/>
  <c r="Q28" i="1" s="1"/>
  <c r="I27" i="1"/>
  <c r="Q27" i="1" s="1"/>
  <c r="I26" i="1"/>
  <c r="Q26" i="1" s="1"/>
  <c r="I25" i="1"/>
  <c r="Q25" i="1" s="1"/>
  <c r="I24" i="1"/>
  <c r="Q24" i="1" s="1"/>
  <c r="I23" i="1"/>
  <c r="Q23" i="1" s="1"/>
  <c r="I22" i="1"/>
  <c r="Q22" i="1" s="1"/>
  <c r="I21" i="1"/>
  <c r="Q21" i="1" s="1"/>
  <c r="I20" i="1"/>
  <c r="Q20" i="1" s="1"/>
  <c r="I19" i="1"/>
  <c r="Q19" i="1" s="1"/>
  <c r="I18" i="1"/>
  <c r="Q18" i="1" s="1"/>
  <c r="I17" i="1"/>
  <c r="Q17" i="1" s="1"/>
  <c r="I16" i="1"/>
  <c r="Q16" i="1" s="1"/>
  <c r="I15" i="1"/>
  <c r="Q15" i="1" s="1"/>
  <c r="I14" i="1"/>
  <c r="Q14" i="1" s="1"/>
  <c r="I13" i="1"/>
  <c r="Q13" i="1" s="1"/>
  <c r="I12" i="1"/>
  <c r="Q12" i="1" s="1"/>
  <c r="I11" i="1"/>
  <c r="Q11" i="1" s="1"/>
  <c r="I10" i="1"/>
  <c r="Q10" i="1" s="1"/>
  <c r="I9" i="1"/>
  <c r="Q9" i="1" s="1"/>
  <c r="H34" i="1"/>
  <c r="H29" i="1"/>
  <c r="I34" i="1" l="1"/>
  <c r="H35" i="1"/>
  <c r="K34" i="1" l="1"/>
  <c r="K29" i="1"/>
  <c r="K35" i="1" l="1"/>
  <c r="B34" i="1" l="1"/>
  <c r="B29" i="1"/>
  <c r="G34" i="1"/>
  <c r="G29" i="1"/>
  <c r="F34" i="1"/>
  <c r="F29" i="1"/>
  <c r="E34" i="1"/>
  <c r="E29" i="1"/>
  <c r="D34" i="1"/>
  <c r="D29" i="1"/>
  <c r="C34" i="1"/>
  <c r="C29" i="1"/>
  <c r="E35" i="1" l="1"/>
  <c r="G35" i="1"/>
  <c r="B35" i="1"/>
  <c r="D35" i="1"/>
  <c r="F35" i="1"/>
  <c r="C35" i="1"/>
  <c r="L34" i="1"/>
  <c r="Q34" i="1" s="1"/>
  <c r="L29" i="1" l="1"/>
  <c r="L35" i="1" s="1"/>
  <c r="I29" i="1" l="1"/>
  <c r="Q29" i="1" s="1"/>
  <c r="I35" i="1" l="1"/>
</calcChain>
</file>

<file path=xl/sharedStrings.xml><?xml version="1.0" encoding="utf-8"?>
<sst xmlns="http://schemas.openxmlformats.org/spreadsheetml/2006/main" count="69" uniqueCount="69">
  <si>
    <t>Всего</t>
  </si>
  <si>
    <t>Баргузинский</t>
  </si>
  <si>
    <t>Баунтовский</t>
  </si>
  <si>
    <t>Бичурский</t>
  </si>
  <si>
    <t>Джидинский</t>
  </si>
  <si>
    <t>Еравнинский</t>
  </si>
  <si>
    <t>Заиграевский</t>
  </si>
  <si>
    <t>Закаменский</t>
  </si>
  <si>
    <t>Иволгинский</t>
  </si>
  <si>
    <t>Кабанский</t>
  </si>
  <si>
    <t>Кижингинский</t>
  </si>
  <si>
    <t>Курумканский</t>
  </si>
  <si>
    <t>Кяхтинский</t>
  </si>
  <si>
    <t>Муйский</t>
  </si>
  <si>
    <t>Мухоршибирский</t>
  </si>
  <si>
    <t>Окинский</t>
  </si>
  <si>
    <t>Прибайкальский</t>
  </si>
  <si>
    <t>Селенгинский</t>
  </si>
  <si>
    <t>Тарбагатайский</t>
  </si>
  <si>
    <t>Тункинский</t>
  </si>
  <si>
    <t>Хоринский</t>
  </si>
  <si>
    <t>Советский</t>
  </si>
  <si>
    <t>Железнодорожный</t>
  </si>
  <si>
    <t>Октябрьский</t>
  </si>
  <si>
    <t>Северобайкальский</t>
  </si>
  <si>
    <t>Итого по сельским районам</t>
  </si>
  <si>
    <t>Итого по г. Улан-Удэ</t>
  </si>
  <si>
    <t>Районы</t>
  </si>
  <si>
    <t>ЕДВ</t>
  </si>
  <si>
    <t>Централизованные выплаты: (руб.)</t>
  </si>
  <si>
    <t>Страховые пенсии</t>
  </si>
  <si>
    <t>Накопительная</t>
  </si>
  <si>
    <t>Гос.пенсии</t>
  </si>
  <si>
    <t>ФЗ №21</t>
  </si>
  <si>
    <t>Профсистемы</t>
  </si>
  <si>
    <r>
      <t xml:space="preserve">Выплата социального пособия на погребение и оказание услуг по погребению согласно гарантированному перечню этих услуг за умерших, получавших </t>
    </r>
    <r>
      <rPr>
        <b/>
        <u/>
        <sz val="10"/>
        <rFont val="Times New Roman"/>
        <family val="1"/>
        <charset val="204"/>
      </rPr>
      <t>страховую или накопительную пенсию</t>
    </r>
  </si>
  <si>
    <r>
      <t xml:space="preserve">Выплата социального пособия на погребение и оказание услуг по погребению согласно гарантированному перечню этих услуг за умерших, получавших пенсии </t>
    </r>
    <r>
      <rPr>
        <b/>
        <u/>
        <sz val="10"/>
        <rFont val="Times New Roman"/>
        <family val="1"/>
        <charset val="204"/>
      </rPr>
      <t>по государственному пенсионному обеспечению</t>
    </r>
  </si>
  <si>
    <t>Единовременная выплата средств пенсионных накоплений</t>
  </si>
  <si>
    <t>Компенсационные выплаты</t>
  </si>
  <si>
    <t>Ежегодная выплата</t>
  </si>
  <si>
    <t>Итого Пенсионное обеспечение</t>
  </si>
  <si>
    <t>Итого</t>
  </si>
  <si>
    <t>Выплачено пенсий и других выплат социального характера 2025 год</t>
  </si>
  <si>
    <t>Пенсия по договору с Эстонией, Белоруссией и выплата ФСД</t>
  </si>
  <si>
    <t xml:space="preserve">МСК </t>
  </si>
  <si>
    <t>МСП</t>
  </si>
  <si>
    <t>Ежемесячное пособие в связи с рождением и воспитанием ребенка</t>
  </si>
  <si>
    <t>Социальная  поддержка героев РФ, соц. труда РФ</t>
  </si>
  <si>
    <t>Выплаты субсидий работодателям за найм граждан</t>
  </si>
  <si>
    <t>Оплата медицинской помощи женщинам в период беременности, родов и в послеродовом периоде, а также профилактического медицинского осмотра  ребенка в течение первого года жизни</t>
  </si>
  <si>
    <t>Пособия при рождении ребенка гражданам, подлежащим ОСС</t>
  </si>
  <si>
    <t>Пособия по беременности и родам гражданам, подлежащим ОСС</t>
  </si>
  <si>
    <t>Возмещение стоимости гарантированного перечня услуг и социальные пособия на погребение работающих</t>
  </si>
  <si>
    <t>Оплата четырех дополнительных выходных дней работающим родителям (опекунам, попечителям) для ухода за детьми-инвалидами</t>
  </si>
  <si>
    <t>Специальная социальная выплата отдельным категориям медицинских работников</t>
  </si>
  <si>
    <t>Обеспечение инвалидов ТСР И СКЛ</t>
  </si>
  <si>
    <t>Пособия по временной нетрудоспособности по обязательному социальному страхованию на случай временной нетрудоспособности и в связи с материнством</t>
  </si>
  <si>
    <t>Пособия по временной нетрудоспособности по обязательному социальному страхованию от несчастных случаев на производстве и профессиональных заболеваний</t>
  </si>
  <si>
    <t>Обеспечение пострадавших на производстве</t>
  </si>
  <si>
    <t xml:space="preserve">Пособия по уходу за ребенком до достижения им возраста полутора лет гражданам, подлежащим ОСС </t>
  </si>
  <si>
    <t>Досрочные пенсии безработным</t>
  </si>
  <si>
    <t>Выплаты правопреемникам</t>
  </si>
  <si>
    <t>Единовременная выплата (10000)</t>
  </si>
  <si>
    <t xml:space="preserve">Срочная пенсионная выплата
</t>
  </si>
  <si>
    <t xml:space="preserve"> Единовременная выплата к 80-летию ВОВ</t>
  </si>
  <si>
    <t>ДЕМО</t>
  </si>
  <si>
    <t>Расходы на компенсацию переезда с районов Кр. Севера</t>
  </si>
  <si>
    <r>
      <t xml:space="preserve">Компенсация по Северному проезду </t>
    </r>
    <r>
      <rPr>
        <b/>
        <i/>
        <sz val="11"/>
        <color theme="1"/>
        <rFont val="Times New Roman"/>
        <family val="1"/>
        <charset val="204"/>
      </rPr>
      <t xml:space="preserve"> к месту отдыха и обратно РКС</t>
    </r>
  </si>
  <si>
    <t>ИТОГО за 2025 год: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</si>
</sst>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Tahoma"/>
      <family val="2"/>
      <charset val="204"/>
    </font>
    <font>
      <b/>
      <u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10" fillId="0" borderId="0"/>
    <xf numFmtId="0" fontId="9" fillId="0" borderId="0"/>
    <xf numFmtId="0" fontId="11" fillId="0" borderId="0"/>
  </cellStyleXfs>
  <cellXfs count="72">
    <xf numFmtId="0" fontId="0" fillId="0" borderId="0" xfId="0"/>
    <xf numFmtId="4" fontId="2" fillId="0" borderId="4" xfId="0" applyNumberFormat="1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4" fontId="2" fillId="0" borderId="9" xfId="0" applyNumberFormat="1" applyFont="1" applyBorder="1" applyAlignment="1">
      <alignment horizontal="left" vertical="center" wrapText="1"/>
    </xf>
    <xf numFmtId="4" fontId="1" fillId="0" borderId="0" xfId="0" applyNumberFormat="1" applyFon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left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1" fillId="0" borderId="14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4" fontId="1" fillId="0" borderId="19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" fontId="1" fillId="2" borderId="8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0" borderId="20" xfId="0" applyNumberFormat="1" applyFont="1" applyFill="1" applyBorder="1" applyAlignment="1">
      <alignment horizontal="center" vertical="center"/>
    </xf>
    <xf numFmtId="4" fontId="3" fillId="0" borderId="13" xfId="0" applyNumberFormat="1" applyFont="1" applyFill="1" applyBorder="1" applyAlignment="1">
      <alignment horizontal="center" vertical="center"/>
    </xf>
    <xf numFmtId="4" fontId="3" fillId="2" borderId="21" xfId="0" applyNumberFormat="1" applyFont="1" applyFill="1" applyBorder="1" applyAlignment="1">
      <alignment horizontal="center" vertical="center"/>
    </xf>
    <xf numFmtId="4" fontId="4" fillId="2" borderId="22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/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3" fillId="3" borderId="1" xfId="0" applyNumberFormat="1" applyFont="1" applyFill="1" applyBorder="1" applyAlignment="1"/>
    <xf numFmtId="0" fontId="3" fillId="0" borderId="23" xfId="0" applyFont="1" applyBorder="1" applyAlignment="1"/>
    <xf numFmtId="0" fontId="3" fillId="0" borderId="17" xfId="0" applyFont="1" applyBorder="1" applyAlignment="1"/>
    <xf numFmtId="0" fontId="3" fillId="0" borderId="13" xfId="0" applyFont="1" applyBorder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4" fontId="1" fillId="0" borderId="0" xfId="0" applyNumberFormat="1" applyFont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4" fontId="3" fillId="3" borderId="1" xfId="0" applyNumberFormat="1" applyFont="1" applyFill="1" applyBorder="1" applyAlignment="1">
      <alignment wrapText="1"/>
    </xf>
    <xf numFmtId="4" fontId="1" fillId="0" borderId="0" xfId="0" applyNumberFormat="1" applyFont="1" applyAlignment="1">
      <alignment wrapText="1"/>
    </xf>
    <xf numFmtId="4" fontId="3" fillId="0" borderId="1" xfId="0" applyNumberFormat="1" applyFont="1" applyFill="1" applyBorder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5"/>
    <cellStyle name="Обычный 3" xfId="2"/>
    <cellStyle name="Обычный 3 2" xfId="4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3:R60"/>
  <sheetViews>
    <sheetView tabSelected="1" zoomScaleNormal="100" zoomScaleSheetLayoutView="100" workbookViewId="0">
      <selection activeCell="N65" sqref="N65"/>
    </sheetView>
  </sheetViews>
  <sheetFormatPr defaultRowHeight="15" x14ac:dyDescent="0.25"/>
  <cols>
    <col min="1" max="1" width="29" style="3" customWidth="1"/>
    <col min="2" max="2" width="25.7109375" style="3" customWidth="1"/>
    <col min="3" max="3" width="23.7109375" style="3" customWidth="1"/>
    <col min="4" max="4" width="22.28515625" style="3" customWidth="1"/>
    <col min="5" max="5" width="21.7109375" style="3" customWidth="1"/>
    <col min="6" max="6" width="21" style="3" customWidth="1"/>
    <col min="7" max="7" width="20.85546875" style="3" customWidth="1"/>
    <col min="8" max="8" width="23.5703125" style="3" customWidth="1"/>
    <col min="9" max="10" width="19.85546875" style="7" customWidth="1"/>
    <col min="11" max="14" width="21.42578125" style="7" customWidth="1"/>
    <col min="15" max="15" width="18.42578125" style="4" bestFit="1" customWidth="1"/>
    <col min="16" max="16" width="18.85546875" style="4" customWidth="1"/>
    <col min="17" max="17" width="19.5703125" style="4" bestFit="1" customWidth="1"/>
    <col min="18" max="18" width="17.42578125" style="4" bestFit="1" customWidth="1"/>
    <col min="19" max="16384" width="9.140625" style="4"/>
  </cols>
  <sheetData>
    <row r="3" spans="1:17" ht="17.25" customHeight="1" x14ac:dyDescent="0.25">
      <c r="A3" s="70" t="s">
        <v>42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50"/>
      <c r="N3" s="24"/>
    </row>
    <row r="4" spans="1:17" ht="17.25" customHeight="1" x14ac:dyDescent="0.25">
      <c r="I4" s="71"/>
      <c r="J4" s="71"/>
      <c r="K4" s="71"/>
      <c r="L4" s="71"/>
      <c r="M4" s="51"/>
      <c r="N4" s="25"/>
    </row>
    <row r="6" spans="1:17" ht="15.75" thickBot="1" x14ac:dyDescent="0.3"/>
    <row r="7" spans="1:17" ht="58.5" customHeight="1" x14ac:dyDescent="0.25">
      <c r="A7" s="14" t="s">
        <v>27</v>
      </c>
      <c r="B7" s="19" t="s">
        <v>33</v>
      </c>
      <c r="C7" s="19" t="s">
        <v>30</v>
      </c>
      <c r="D7" s="19" t="s">
        <v>31</v>
      </c>
      <c r="E7" s="19" t="s">
        <v>32</v>
      </c>
      <c r="F7" s="19" t="s">
        <v>63</v>
      </c>
      <c r="G7" s="19" t="s">
        <v>60</v>
      </c>
      <c r="H7" s="19" t="s">
        <v>37</v>
      </c>
      <c r="I7" s="44" t="s">
        <v>40</v>
      </c>
      <c r="J7" s="27" t="s">
        <v>38</v>
      </c>
      <c r="K7" s="28" t="s">
        <v>34</v>
      </c>
      <c r="L7" s="26" t="s">
        <v>67</v>
      </c>
      <c r="M7" s="26" t="s">
        <v>65</v>
      </c>
      <c r="N7" s="26" t="s">
        <v>39</v>
      </c>
      <c r="O7" s="26" t="s">
        <v>64</v>
      </c>
      <c r="P7" s="27" t="s">
        <v>28</v>
      </c>
      <c r="Q7" s="47" t="s">
        <v>41</v>
      </c>
    </row>
    <row r="8" spans="1:17" s="5" customFormat="1" ht="15.75" x14ac:dyDescent="0.25">
      <c r="A8" s="2" t="s">
        <v>1</v>
      </c>
      <c r="B8" s="22">
        <f>4748.43+767265.22</f>
        <v>772013.65</v>
      </c>
      <c r="C8" s="22">
        <f>9354857.25+1860157905.27</f>
        <v>1869512762.52</v>
      </c>
      <c r="D8" s="22">
        <f>922.47+226573.83</f>
        <v>227496.3</v>
      </c>
      <c r="E8" s="22">
        <f>874721.62+198968058.71</f>
        <v>199842780.33000001</v>
      </c>
      <c r="F8" s="22">
        <f>1483.94+314065.12</f>
        <v>315549.06</v>
      </c>
      <c r="G8" s="22">
        <v>309801.84000000003</v>
      </c>
      <c r="H8" s="9">
        <f>2400.06+2821772.9</f>
        <v>2824172.96</v>
      </c>
      <c r="I8" s="40">
        <f>C8+D8+E8+F8+G8+B8+H8</f>
        <v>2073804576.6599998</v>
      </c>
      <c r="J8" s="30">
        <v>28866100.210000001</v>
      </c>
      <c r="K8" s="30">
        <f>632177.7</f>
        <v>632177.69999999995</v>
      </c>
      <c r="L8" s="29">
        <v>3517201.23</v>
      </c>
      <c r="M8" s="29">
        <v>301923.14</v>
      </c>
      <c r="N8" s="29">
        <v>0</v>
      </c>
      <c r="O8" s="29">
        <v>3401660.2</v>
      </c>
      <c r="P8" s="30">
        <v>108545933.39</v>
      </c>
      <c r="Q8" s="48">
        <f>I8+J8+K8+L8+N8+P8+O8+M8</f>
        <v>2219069572.5299997</v>
      </c>
    </row>
    <row r="9" spans="1:17" s="5" customFormat="1" ht="15.75" x14ac:dyDescent="0.25">
      <c r="A9" s="1" t="s">
        <v>2</v>
      </c>
      <c r="B9" s="21">
        <v>0</v>
      </c>
      <c r="C9" s="21">
        <f>4249670.96+818899664.62</f>
        <v>823149335.58000004</v>
      </c>
      <c r="D9" s="21">
        <f>175.7+42346.45</f>
        <v>42522.149999999994</v>
      </c>
      <c r="E9" s="21">
        <f>273867.07+57729455.04</f>
        <v>58003322.109999999</v>
      </c>
      <c r="F9" s="21">
        <f>202.47+34117.35</f>
        <v>34319.82</v>
      </c>
      <c r="G9" s="21">
        <v>0</v>
      </c>
      <c r="H9" s="10">
        <f>1983.17+2960310.34</f>
        <v>2962293.51</v>
      </c>
      <c r="I9" s="40">
        <f t="shared" ref="I9:I28" si="0">C9+D9+E9+F9+G9+B9+H9</f>
        <v>884191793.17000008</v>
      </c>
      <c r="J9" s="30">
        <v>8936986.3499999996</v>
      </c>
      <c r="K9" s="31">
        <v>18413.12</v>
      </c>
      <c r="L9" s="32">
        <v>1429706.18</v>
      </c>
      <c r="M9" s="29">
        <v>23336.959999999999</v>
      </c>
      <c r="N9" s="29">
        <v>0</v>
      </c>
      <c r="O9" s="29">
        <v>411123.20000000001</v>
      </c>
      <c r="P9" s="30">
        <v>29647340.109999999</v>
      </c>
      <c r="Q9" s="48">
        <f t="shared" ref="Q9:Q34" si="1">I9+J9+K9+L9+N9+P9+O9+M9</f>
        <v>924658699.09000015</v>
      </c>
    </row>
    <row r="10" spans="1:17" s="5" customFormat="1" ht="15.75" x14ac:dyDescent="0.25">
      <c r="A10" s="1" t="s">
        <v>3</v>
      </c>
      <c r="B10" s="21">
        <f>4748.43+341947.48</f>
        <v>346695.91</v>
      </c>
      <c r="C10" s="21">
        <f>9080268.15+1258159097.4</f>
        <v>1267239365.5500002</v>
      </c>
      <c r="D10" s="21">
        <f>677.55+171612.14</f>
        <v>172289.69</v>
      </c>
      <c r="E10" s="21">
        <f>1099887.64+165262145.51</f>
        <v>166362033.14999998</v>
      </c>
      <c r="F10" s="21">
        <f>181.55+175641.77</f>
        <v>175823.31999999998</v>
      </c>
      <c r="G10" s="21">
        <f>10444.99+761720</f>
        <v>772164.99</v>
      </c>
      <c r="H10" s="10">
        <f>13847.42+3789045.98</f>
        <v>3802893.4</v>
      </c>
      <c r="I10" s="40">
        <f t="shared" si="0"/>
        <v>1438871266.0100005</v>
      </c>
      <c r="J10" s="30">
        <v>25135475.77</v>
      </c>
      <c r="K10" s="31">
        <v>686618.96</v>
      </c>
      <c r="L10" s="32">
        <v>0</v>
      </c>
      <c r="M10" s="29">
        <v>126974.09</v>
      </c>
      <c r="N10" s="29">
        <v>0</v>
      </c>
      <c r="O10" s="29">
        <v>2847221.8</v>
      </c>
      <c r="P10" s="30">
        <v>91844464.349999994</v>
      </c>
      <c r="Q10" s="48">
        <f t="shared" si="1"/>
        <v>1559512020.9800003</v>
      </c>
    </row>
    <row r="11" spans="1:17" s="5" customFormat="1" ht="15.75" x14ac:dyDescent="0.25">
      <c r="A11" s="1" t="s">
        <v>4</v>
      </c>
      <c r="B11" s="21">
        <v>0</v>
      </c>
      <c r="C11" s="21">
        <f>5656776.99+1225500011.01</f>
        <v>1231156788</v>
      </c>
      <c r="D11" s="21">
        <v>55503.64</v>
      </c>
      <c r="E11" s="21">
        <f>901237.27+227466179.33</f>
        <v>228367416.60000002</v>
      </c>
      <c r="F11" s="21">
        <v>128300.88</v>
      </c>
      <c r="G11" s="21">
        <v>709254.71</v>
      </c>
      <c r="H11" s="10">
        <f>2962.1+4695188.01</f>
        <v>4698150.1099999994</v>
      </c>
      <c r="I11" s="40">
        <f t="shared" si="0"/>
        <v>1465115413.9400003</v>
      </c>
      <c r="J11" s="30">
        <v>34530740.800000004</v>
      </c>
      <c r="K11" s="31">
        <v>648183.75</v>
      </c>
      <c r="L11" s="32">
        <v>0</v>
      </c>
      <c r="M11" s="29">
        <v>121486.44</v>
      </c>
      <c r="N11" s="29">
        <v>0</v>
      </c>
      <c r="O11" s="29">
        <v>2754062.8</v>
      </c>
      <c r="P11" s="30">
        <v>109520972.97</v>
      </c>
      <c r="Q11" s="48">
        <f t="shared" si="1"/>
        <v>1612690860.7000003</v>
      </c>
    </row>
    <row r="12" spans="1:17" s="5" customFormat="1" ht="15.75" x14ac:dyDescent="0.25">
      <c r="A12" s="1" t="s">
        <v>5</v>
      </c>
      <c r="B12" s="21">
        <v>0</v>
      </c>
      <c r="C12" s="21">
        <f>3199452.13+705451305.76</f>
        <v>708650757.88999999</v>
      </c>
      <c r="D12" s="21">
        <f>454.49+85692.61</f>
        <v>86147.1</v>
      </c>
      <c r="E12" s="21">
        <f>748272.52+138864816.56</f>
        <v>139613089.08000001</v>
      </c>
      <c r="F12" s="21">
        <f>209.15+180432.53</f>
        <v>180641.68</v>
      </c>
      <c r="G12" s="21">
        <v>0</v>
      </c>
      <c r="H12" s="10">
        <f>303.72+3613885.75</f>
        <v>3614189.47</v>
      </c>
      <c r="I12" s="40">
        <f t="shared" si="0"/>
        <v>852144825.22000003</v>
      </c>
      <c r="J12" s="30">
        <v>17174458</v>
      </c>
      <c r="K12" s="31">
        <v>0</v>
      </c>
      <c r="L12" s="32">
        <v>0</v>
      </c>
      <c r="M12" s="29">
        <v>61535.14</v>
      </c>
      <c r="N12" s="29">
        <v>0</v>
      </c>
      <c r="O12" s="29">
        <v>853424</v>
      </c>
      <c r="P12" s="30">
        <v>65191079.109999999</v>
      </c>
      <c r="Q12" s="48">
        <f t="shared" si="1"/>
        <v>935425321.47000003</v>
      </c>
    </row>
    <row r="13" spans="1:17" s="5" customFormat="1" ht="15.75" x14ac:dyDescent="0.25">
      <c r="A13" s="1" t="s">
        <v>6</v>
      </c>
      <c r="B13" s="21">
        <f>9496.74+676408.92</f>
        <v>685905.66</v>
      </c>
      <c r="C13" s="21">
        <f>14302545.8+2769754037.37</f>
        <v>2784056583.1700001</v>
      </c>
      <c r="D13" s="21">
        <f>321.74+175463.63</f>
        <v>175785.37</v>
      </c>
      <c r="E13" s="21">
        <f>2012938.72+395161556.36</f>
        <v>397174495.08000004</v>
      </c>
      <c r="F13" s="21">
        <f>752.87+493722.53</f>
        <v>494475.4</v>
      </c>
      <c r="G13" s="21">
        <v>1546830.76</v>
      </c>
      <c r="H13" s="10">
        <f>12700.31+12782153.39</f>
        <v>12794853.700000001</v>
      </c>
      <c r="I13" s="40">
        <f t="shared" si="0"/>
        <v>3196928929.1399999</v>
      </c>
      <c r="J13" s="30">
        <v>66170109.549999997</v>
      </c>
      <c r="K13" s="31">
        <v>0</v>
      </c>
      <c r="L13" s="32">
        <v>0</v>
      </c>
      <c r="M13" s="29">
        <v>373404.74</v>
      </c>
      <c r="N13" s="29">
        <v>10000</v>
      </c>
      <c r="O13" s="29">
        <v>4140521.2</v>
      </c>
      <c r="P13" s="30">
        <v>220621025.69</v>
      </c>
      <c r="Q13" s="48">
        <f t="shared" si="1"/>
        <v>3488243990.3199997</v>
      </c>
    </row>
    <row r="14" spans="1:17" s="5" customFormat="1" ht="15.75" x14ac:dyDescent="0.25">
      <c r="A14" s="1" t="s">
        <v>7</v>
      </c>
      <c r="B14" s="21">
        <v>0</v>
      </c>
      <c r="C14" s="21">
        <f>6227662.47+1357112438.75</f>
        <v>1363340101.22</v>
      </c>
      <c r="D14" s="21">
        <f>296.52+198014.48</f>
        <v>198311</v>
      </c>
      <c r="E14" s="21">
        <f>1240035.39+322097059.05</f>
        <v>323337094.44</v>
      </c>
      <c r="F14" s="21">
        <f>857.4+591938.09</f>
        <v>592795.49</v>
      </c>
      <c r="G14" s="21">
        <v>0</v>
      </c>
      <c r="H14" s="10">
        <f>17058.8+7894185.11</f>
        <v>7911243.9100000001</v>
      </c>
      <c r="I14" s="40">
        <f t="shared" si="0"/>
        <v>1695379546.0600002</v>
      </c>
      <c r="J14" s="30">
        <v>35600674.18</v>
      </c>
      <c r="K14" s="31">
        <v>0</v>
      </c>
      <c r="L14" s="32">
        <v>0</v>
      </c>
      <c r="M14" s="29">
        <v>210318.09</v>
      </c>
      <c r="N14" s="29">
        <v>0</v>
      </c>
      <c r="O14" s="29">
        <v>1931060</v>
      </c>
      <c r="P14" s="30">
        <v>134067290.16000004</v>
      </c>
      <c r="Q14" s="48">
        <f t="shared" si="1"/>
        <v>1867188888.4900002</v>
      </c>
    </row>
    <row r="15" spans="1:17" s="5" customFormat="1" ht="15.75" x14ac:dyDescent="0.25">
      <c r="A15" s="1" t="s">
        <v>8</v>
      </c>
      <c r="B15" s="21">
        <v>0</v>
      </c>
      <c r="C15" s="21">
        <f>5914970.01+1916282961.41</f>
        <v>1922197931.4200001</v>
      </c>
      <c r="D15" s="21">
        <v>268561.78999999998</v>
      </c>
      <c r="E15" s="21">
        <f>1183151.66+457764000.2</f>
        <v>458947151.86000001</v>
      </c>
      <c r="F15" s="21">
        <f>389464.87</f>
        <v>389464.87</v>
      </c>
      <c r="G15" s="21">
        <v>783273.61</v>
      </c>
      <c r="H15" s="10">
        <f>7235.7+6531679.89</f>
        <v>6538915.5899999999</v>
      </c>
      <c r="I15" s="40">
        <f t="shared" si="0"/>
        <v>2389125299.1400003</v>
      </c>
      <c r="J15" s="30">
        <v>94682700.079999998</v>
      </c>
      <c r="K15" s="31">
        <f>1075287.54+81457.92</f>
        <v>1156745.46</v>
      </c>
      <c r="L15" s="32">
        <v>0</v>
      </c>
      <c r="M15" s="29">
        <v>479950.20999999996</v>
      </c>
      <c r="N15" s="29">
        <v>10140.4</v>
      </c>
      <c r="O15" s="29">
        <v>3203150.2</v>
      </c>
      <c r="P15" s="30">
        <v>198451558.18000001</v>
      </c>
      <c r="Q15" s="48">
        <f t="shared" si="1"/>
        <v>2687109543.6700001</v>
      </c>
    </row>
    <row r="16" spans="1:17" s="5" customFormat="1" ht="15.75" x14ac:dyDescent="0.25">
      <c r="A16" s="1" t="s">
        <v>9</v>
      </c>
      <c r="B16" s="21">
        <v>810777.16</v>
      </c>
      <c r="C16" s="21">
        <f>18524617.95+4027677960.76</f>
        <v>4046202578.71</v>
      </c>
      <c r="D16" s="21">
        <f>860.97+687618.55</f>
        <v>688479.52</v>
      </c>
      <c r="E16" s="21">
        <f>2067211.81+433033167.55</f>
        <v>435100379.36000001</v>
      </c>
      <c r="F16" s="21">
        <f>1818.35+732082.84</f>
        <v>733901.19</v>
      </c>
      <c r="G16" s="21">
        <v>406978.67</v>
      </c>
      <c r="H16" s="10">
        <f>12499.85+13716125.61</f>
        <v>13728625.459999999</v>
      </c>
      <c r="I16" s="40">
        <f t="shared" si="0"/>
        <v>4497671720.0699997</v>
      </c>
      <c r="J16" s="30">
        <v>64455930.609999999</v>
      </c>
      <c r="K16" s="31">
        <f>5799.84+953186.11+461.87+112944.4</f>
        <v>1072392.22</v>
      </c>
      <c r="L16" s="32">
        <v>0</v>
      </c>
      <c r="M16" s="29">
        <v>383643.82999999996</v>
      </c>
      <c r="N16" s="29">
        <v>20140.400000000001</v>
      </c>
      <c r="O16" s="29">
        <v>8237430.5999999996</v>
      </c>
      <c r="P16" s="30">
        <v>236240098.75</v>
      </c>
      <c r="Q16" s="48">
        <f t="shared" si="1"/>
        <v>4808081356.4799995</v>
      </c>
    </row>
    <row r="17" spans="1:17" s="5" customFormat="1" ht="15.75" x14ac:dyDescent="0.25">
      <c r="A17" s="1" t="s">
        <v>10</v>
      </c>
      <c r="B17" s="21">
        <v>0</v>
      </c>
      <c r="C17" s="21">
        <f>3756723.47+837763713.73</f>
        <v>841520437.20000005</v>
      </c>
      <c r="D17" s="21">
        <f>16.05+89940.25</f>
        <v>89956.3</v>
      </c>
      <c r="E17" s="21">
        <f>454808.34+127084867.39</f>
        <v>127539675.73</v>
      </c>
      <c r="F17" s="21">
        <f>654.28+545031.21</f>
        <v>545685.49</v>
      </c>
      <c r="G17" s="21">
        <v>291701.28000000003</v>
      </c>
      <c r="H17" s="10">
        <f>1661.08+1450400.9</f>
        <v>1452061.98</v>
      </c>
      <c r="I17" s="40">
        <f t="shared" si="0"/>
        <v>971439517.98000002</v>
      </c>
      <c r="J17" s="30">
        <v>19764290.670000002</v>
      </c>
      <c r="K17" s="31">
        <v>0</v>
      </c>
      <c r="L17" s="32">
        <v>0</v>
      </c>
      <c r="M17" s="29">
        <v>103713.74</v>
      </c>
      <c r="N17" s="29">
        <v>0</v>
      </c>
      <c r="O17" s="29">
        <v>1789866.6</v>
      </c>
      <c r="P17" s="30">
        <v>59587476.150000006</v>
      </c>
      <c r="Q17" s="48">
        <f t="shared" si="1"/>
        <v>1052684865.14</v>
      </c>
    </row>
    <row r="18" spans="1:17" s="5" customFormat="1" ht="15.75" x14ac:dyDescent="0.25">
      <c r="A18" s="1" t="s">
        <v>11</v>
      </c>
      <c r="B18" s="21">
        <v>338204.46</v>
      </c>
      <c r="C18" s="21">
        <f>3550927.42+1158557305.66</f>
        <v>1162108233.0800002</v>
      </c>
      <c r="D18" s="21">
        <v>161860.73000000001</v>
      </c>
      <c r="E18" s="21">
        <f>362402.39+125419964.78</f>
        <v>125782367.17</v>
      </c>
      <c r="F18" s="21">
        <f>364730.58</f>
        <v>364730.58</v>
      </c>
      <c r="G18" s="21">
        <v>514125.48</v>
      </c>
      <c r="H18" s="10">
        <f>333.51+2648791.95</f>
        <v>2649125.46</v>
      </c>
      <c r="I18" s="40">
        <f t="shared" si="0"/>
        <v>1291918646.9600003</v>
      </c>
      <c r="J18" s="30">
        <v>19611482.010000002</v>
      </c>
      <c r="K18" s="31">
        <v>0</v>
      </c>
      <c r="L18" s="32">
        <v>2834475.54</v>
      </c>
      <c r="M18" s="29">
        <v>83198.459999999992</v>
      </c>
      <c r="N18" s="29">
        <v>0</v>
      </c>
      <c r="O18" s="29">
        <v>1951075.8</v>
      </c>
      <c r="P18" s="30">
        <v>67908778.49000001</v>
      </c>
      <c r="Q18" s="48">
        <f t="shared" si="1"/>
        <v>1384307657.2600002</v>
      </c>
    </row>
    <row r="19" spans="1:17" s="5" customFormat="1" ht="15.75" x14ac:dyDescent="0.25">
      <c r="A19" s="1" t="s">
        <v>12</v>
      </c>
      <c r="B19" s="21">
        <v>0</v>
      </c>
      <c r="C19" s="21">
        <f>9574963.91+1606001726.56</f>
        <v>1615576690.47</v>
      </c>
      <c r="D19" s="21">
        <f>358.3+205716.83</f>
        <v>206075.12999999998</v>
      </c>
      <c r="E19" s="21">
        <f>1306663.61+305507245.99</f>
        <v>306813909.60000002</v>
      </c>
      <c r="F19" s="21">
        <f>1587.56+431444.19</f>
        <v>433031.75</v>
      </c>
      <c r="G19" s="21">
        <f>2259.61+590893.54</f>
        <v>593153.15</v>
      </c>
      <c r="H19" s="10">
        <f>12283.48+10912716.77</f>
        <v>10925000.25</v>
      </c>
      <c r="I19" s="40">
        <f t="shared" si="0"/>
        <v>1934547860.3500004</v>
      </c>
      <c r="J19" s="30">
        <v>32234149.870000001</v>
      </c>
      <c r="K19" s="31">
        <v>0</v>
      </c>
      <c r="L19" s="32">
        <v>0</v>
      </c>
      <c r="M19" s="29">
        <v>497769.68</v>
      </c>
      <c r="N19" s="29">
        <v>0</v>
      </c>
      <c r="O19" s="29">
        <v>3240451</v>
      </c>
      <c r="P19" s="30">
        <v>252672646.66000003</v>
      </c>
      <c r="Q19" s="48">
        <f t="shared" si="1"/>
        <v>2223192877.5599999</v>
      </c>
    </row>
    <row r="20" spans="1:17" s="5" customFormat="1" ht="15.75" x14ac:dyDescent="0.25">
      <c r="A20" s="1" t="s">
        <v>13</v>
      </c>
      <c r="B20" s="21">
        <f>4748.43+341947.48</f>
        <v>346695.91</v>
      </c>
      <c r="C20" s="21">
        <f>1358432.92+910318415.71</f>
        <v>911676848.63</v>
      </c>
      <c r="D20" s="21">
        <f>307.45+490266.28</f>
        <v>490573.73000000004</v>
      </c>
      <c r="E20" s="21">
        <f>125332.56+46330059.14</f>
        <v>46455391.700000003</v>
      </c>
      <c r="F20" s="21">
        <v>472821.56</v>
      </c>
      <c r="G20" s="21">
        <v>0</v>
      </c>
      <c r="H20" s="10">
        <f>2723.05+7823011.26</f>
        <v>7825734.3099999996</v>
      </c>
      <c r="I20" s="40">
        <f t="shared" si="0"/>
        <v>967268065.83999991</v>
      </c>
      <c r="J20" s="30">
        <v>5495794.5599999996</v>
      </c>
      <c r="K20" s="31">
        <v>0</v>
      </c>
      <c r="L20" s="32">
        <v>2769381.66</v>
      </c>
      <c r="M20" s="29">
        <v>16400</v>
      </c>
      <c r="N20" s="29">
        <v>0</v>
      </c>
      <c r="O20" s="29">
        <v>0</v>
      </c>
      <c r="P20" s="30">
        <v>24200372.310000002</v>
      </c>
      <c r="Q20" s="48">
        <f t="shared" si="1"/>
        <v>999750014.36999989</v>
      </c>
    </row>
    <row r="21" spans="1:17" s="5" customFormat="1" ht="15.75" x14ac:dyDescent="0.25">
      <c r="A21" s="1" t="s">
        <v>14</v>
      </c>
      <c r="B21" s="21">
        <f>5971.44+430024.88</f>
        <v>435996.32</v>
      </c>
      <c r="C21" s="21">
        <f>6650271.63+1429940384.69</f>
        <v>1436590656.3200002</v>
      </c>
      <c r="D21" s="21">
        <f>195.11+220978.23</f>
        <v>221173.34</v>
      </c>
      <c r="E21" s="21">
        <f>1107401.91+266455519.07</f>
        <v>267562920.97999999</v>
      </c>
      <c r="F21" s="21">
        <v>234778.77</v>
      </c>
      <c r="G21" s="21">
        <v>233116.44</v>
      </c>
      <c r="H21" s="10">
        <f>1812.2+3976000.65</f>
        <v>3977812.85</v>
      </c>
      <c r="I21" s="40">
        <f t="shared" si="0"/>
        <v>1709256455.02</v>
      </c>
      <c r="J21" s="30">
        <v>34255325.640000001</v>
      </c>
      <c r="K21" s="31">
        <v>416694.54</v>
      </c>
      <c r="L21" s="32">
        <v>0</v>
      </c>
      <c r="M21" s="29">
        <v>106116.8</v>
      </c>
      <c r="N21" s="29">
        <v>0</v>
      </c>
      <c r="O21" s="29">
        <v>2369148.7999999998</v>
      </c>
      <c r="P21" s="30">
        <v>120255215.07000001</v>
      </c>
      <c r="Q21" s="48">
        <f t="shared" si="1"/>
        <v>1866658955.8699999</v>
      </c>
    </row>
    <row r="22" spans="1:17" s="5" customFormat="1" ht="15.75" x14ac:dyDescent="0.25">
      <c r="A22" s="1" t="s">
        <v>15</v>
      </c>
      <c r="B22" s="21">
        <v>0</v>
      </c>
      <c r="C22" s="21">
        <f>1128008.48+332535992.08</f>
        <v>333664000.56</v>
      </c>
      <c r="D22" s="21">
        <v>45911.58</v>
      </c>
      <c r="E22" s="21">
        <f>211959.88+80216396.31</f>
        <v>80428356.189999998</v>
      </c>
      <c r="F22" s="21">
        <v>37382.69</v>
      </c>
      <c r="G22" s="21">
        <v>0</v>
      </c>
      <c r="H22" s="10">
        <v>1234056.29</v>
      </c>
      <c r="I22" s="40">
        <f t="shared" si="0"/>
        <v>415409707.31</v>
      </c>
      <c r="J22" s="30">
        <v>13147820.970000001</v>
      </c>
      <c r="K22" s="31">
        <v>0</v>
      </c>
      <c r="L22" s="32">
        <v>1028156.33</v>
      </c>
      <c r="M22" s="29">
        <v>36000</v>
      </c>
      <c r="N22" s="29">
        <v>0</v>
      </c>
      <c r="O22" s="29">
        <v>441544.4</v>
      </c>
      <c r="P22" s="30">
        <v>24423785.469999999</v>
      </c>
      <c r="Q22" s="48">
        <f t="shared" si="1"/>
        <v>454487014.48000002</v>
      </c>
    </row>
    <row r="23" spans="1:17" s="5" customFormat="1" ht="15.75" x14ac:dyDescent="0.25">
      <c r="A23" s="1" t="s">
        <v>16</v>
      </c>
      <c r="B23" s="21">
        <v>0</v>
      </c>
      <c r="C23" s="21">
        <f>9310502.54+1571280997.47</f>
        <v>1580591500.01</v>
      </c>
      <c r="D23" s="21">
        <f>499.41+356825.41</f>
        <v>357324.81999999995</v>
      </c>
      <c r="E23" s="21">
        <f>1243378.83+222804905.69</f>
        <v>224048284.52000001</v>
      </c>
      <c r="F23" s="21">
        <f>1397.41+922487.13</f>
        <v>923884.54</v>
      </c>
      <c r="G23" s="21">
        <f>2515.36+1596527.31</f>
        <v>1599042.6700000002</v>
      </c>
      <c r="H23" s="10">
        <f>21662.03+10748852.71</f>
        <v>10770514.74</v>
      </c>
      <c r="I23" s="40">
        <f t="shared" si="0"/>
        <v>1818290551.3</v>
      </c>
      <c r="J23" s="30">
        <v>37248494.460000001</v>
      </c>
      <c r="K23" s="31">
        <f>3419.6+1152184.36+724.09+51711.81</f>
        <v>1208039.8600000003</v>
      </c>
      <c r="L23" s="32">
        <v>0</v>
      </c>
      <c r="M23" s="29">
        <v>101075.95</v>
      </c>
      <c r="N23" s="29">
        <v>20140.400000000001</v>
      </c>
      <c r="O23" s="29">
        <v>2600552.7999999998</v>
      </c>
      <c r="P23" s="30">
        <v>112133219.44999999</v>
      </c>
      <c r="Q23" s="48">
        <f t="shared" si="1"/>
        <v>1971602074.22</v>
      </c>
    </row>
    <row r="24" spans="1:17" s="5" customFormat="1" ht="15.75" x14ac:dyDescent="0.25">
      <c r="A24" s="1" t="s">
        <v>24</v>
      </c>
      <c r="B24" s="21">
        <v>338204.46</v>
      </c>
      <c r="C24" s="21">
        <f>10253636.14+3639028513.34</f>
        <v>3649282149.48</v>
      </c>
      <c r="D24" s="21">
        <f>800.91+700735.69</f>
        <v>701536.6</v>
      </c>
      <c r="E24" s="21">
        <f>663120.73+169383108.71</f>
        <v>170046229.44</v>
      </c>
      <c r="F24" s="21">
        <f>976.59+828723.7</f>
        <v>829700.28999999992</v>
      </c>
      <c r="G24" s="21">
        <v>605417.37</v>
      </c>
      <c r="H24" s="10">
        <f>17178.21+17226930.31</f>
        <v>17244108.52</v>
      </c>
      <c r="I24" s="40">
        <f t="shared" si="0"/>
        <v>3839047346.1599998</v>
      </c>
      <c r="J24" s="30">
        <v>24702639.640000001</v>
      </c>
      <c r="K24" s="31">
        <f>710625.75+81139.22</f>
        <v>791764.97</v>
      </c>
      <c r="L24" s="32">
        <v>17300853.550000001</v>
      </c>
      <c r="M24" s="29">
        <v>148228.35</v>
      </c>
      <c r="N24" s="29"/>
      <c r="O24" s="29">
        <v>1811005.6</v>
      </c>
      <c r="P24" s="30">
        <v>99800730.230000004</v>
      </c>
      <c r="Q24" s="48">
        <f t="shared" si="1"/>
        <v>3983602568.4999995</v>
      </c>
    </row>
    <row r="25" spans="1:17" s="5" customFormat="1" ht="15.75" x14ac:dyDescent="0.25">
      <c r="A25" s="1" t="s">
        <v>17</v>
      </c>
      <c r="B25" s="21">
        <v>0</v>
      </c>
      <c r="C25" s="21">
        <f>9657661.87+2436797889.82</f>
        <v>2446455551.6900001</v>
      </c>
      <c r="D25" s="21">
        <f>365.22+241578.12</f>
        <v>241943.34</v>
      </c>
      <c r="E25" s="21">
        <f>1263483.75+324074594.18</f>
        <v>325338077.93000001</v>
      </c>
      <c r="F25" s="21">
        <f>989.59+690416.36</f>
        <v>691405.95</v>
      </c>
      <c r="G25" s="21">
        <v>508647.96</v>
      </c>
      <c r="H25" s="10">
        <f>8363.01+13340702.9</f>
        <v>13349065.91</v>
      </c>
      <c r="I25" s="40">
        <f t="shared" si="0"/>
        <v>2786584692.7799997</v>
      </c>
      <c r="J25" s="30">
        <v>47564534.850000001</v>
      </c>
      <c r="K25" s="31">
        <f>6681.03+481121.26+212001.63+13653.49+2176673.99</f>
        <v>2890131.4000000004</v>
      </c>
      <c r="L25" s="32"/>
      <c r="M25" s="29">
        <v>264203.74</v>
      </c>
      <c r="N25" s="29"/>
      <c r="O25" s="29">
        <v>2788236.2</v>
      </c>
      <c r="P25" s="30">
        <v>168420131.19999999</v>
      </c>
      <c r="Q25" s="48">
        <f t="shared" si="1"/>
        <v>3008511930.1699991</v>
      </c>
    </row>
    <row r="26" spans="1:17" s="5" customFormat="1" ht="15.75" x14ac:dyDescent="0.25">
      <c r="A26" s="1" t="s">
        <v>18</v>
      </c>
      <c r="B26" s="21">
        <v>0</v>
      </c>
      <c r="C26" s="21">
        <f>6179507.18+1099184748.41</f>
        <v>1105364255.5900002</v>
      </c>
      <c r="D26" s="21">
        <f>283.67+191287.61</f>
        <v>191571.28</v>
      </c>
      <c r="E26" s="21">
        <f>732669.62+163076401.78</f>
        <v>163809071.40000001</v>
      </c>
      <c r="F26" s="21">
        <f>830.11+374945.86</f>
        <v>375775.97</v>
      </c>
      <c r="G26" s="21">
        <v>524949.93999999994</v>
      </c>
      <c r="H26" s="10">
        <f>4716.08+4484158.23</f>
        <v>4488874.3100000005</v>
      </c>
      <c r="I26" s="40">
        <f t="shared" si="0"/>
        <v>1274754498.4900002</v>
      </c>
      <c r="J26" s="30">
        <v>30624081.48</v>
      </c>
      <c r="K26" s="31">
        <v>51088.32</v>
      </c>
      <c r="L26" s="32"/>
      <c r="M26" s="29">
        <v>87660.829999999987</v>
      </c>
      <c r="N26" s="29"/>
      <c r="O26" s="29">
        <v>3576979.6</v>
      </c>
      <c r="P26" s="30">
        <v>94413402</v>
      </c>
      <c r="Q26" s="48">
        <f t="shared" si="1"/>
        <v>1403507710.72</v>
      </c>
    </row>
    <row r="27" spans="1:17" s="5" customFormat="1" ht="15.75" x14ac:dyDescent="0.25">
      <c r="A27" s="1" t="s">
        <v>19</v>
      </c>
      <c r="B27" s="21">
        <v>0</v>
      </c>
      <c r="C27" s="21">
        <f>4599874.59+1059501941.02</f>
        <v>1064101815.61</v>
      </c>
      <c r="D27" s="21">
        <v>100761.3</v>
      </c>
      <c r="E27" s="21">
        <f>589364.54+174933298.38</f>
        <v>175522662.91999999</v>
      </c>
      <c r="F27" s="21">
        <v>276456.89</v>
      </c>
      <c r="G27" s="21">
        <v>1097259.99</v>
      </c>
      <c r="H27" s="10">
        <f>2936.21+4859591.94</f>
        <v>4862528.1500000004</v>
      </c>
      <c r="I27" s="40">
        <f t="shared" si="0"/>
        <v>1245961484.8600001</v>
      </c>
      <c r="J27" s="30">
        <v>24139270.919999998</v>
      </c>
      <c r="K27" s="31">
        <v>294879.88</v>
      </c>
      <c r="L27" s="32"/>
      <c r="M27" s="29">
        <v>163680.65</v>
      </c>
      <c r="N27" s="29">
        <v>20280.8</v>
      </c>
      <c r="O27" s="29">
        <v>3525677.4</v>
      </c>
      <c r="P27" s="30">
        <v>79943307.590000004</v>
      </c>
      <c r="Q27" s="48">
        <f t="shared" si="1"/>
        <v>1354048582.1000004</v>
      </c>
    </row>
    <row r="28" spans="1:17" s="5" customFormat="1" ht="15.75" x14ac:dyDescent="0.25">
      <c r="A28" s="1" t="s">
        <v>20</v>
      </c>
      <c r="B28" s="21">
        <v>0</v>
      </c>
      <c r="C28" s="21">
        <f>4563215.76+899842702.53</f>
        <v>904405918.28999996</v>
      </c>
      <c r="D28" s="21">
        <f>193.66+131137.47</f>
        <v>131331.13</v>
      </c>
      <c r="E28" s="21">
        <f>784934.93+160053975.83</f>
        <v>160838910.76000002</v>
      </c>
      <c r="F28" s="21">
        <v>122215.44</v>
      </c>
      <c r="G28" s="21">
        <f>6448.69+1155096.64</f>
        <v>1161545.3299999998</v>
      </c>
      <c r="H28" s="10">
        <f>4638.79+2346233.91</f>
        <v>2350872.7000000002</v>
      </c>
      <c r="I28" s="40">
        <f t="shared" si="0"/>
        <v>1069010793.6500001</v>
      </c>
      <c r="J28" s="30">
        <v>19775969.030000001</v>
      </c>
      <c r="K28" s="31">
        <v>413288.05</v>
      </c>
      <c r="L28" s="32"/>
      <c r="M28" s="29">
        <v>69449.279999999999</v>
      </c>
      <c r="N28" s="29"/>
      <c r="O28" s="29">
        <v>1985201.8</v>
      </c>
      <c r="P28" s="30">
        <v>73955734.609999999</v>
      </c>
      <c r="Q28" s="48">
        <f t="shared" si="1"/>
        <v>1165210436.4199998</v>
      </c>
    </row>
    <row r="29" spans="1:17" s="5" customFormat="1" ht="31.5" x14ac:dyDescent="0.25">
      <c r="A29" s="12" t="s">
        <v>25</v>
      </c>
      <c r="B29" s="8">
        <f t="shared" ref="B29:L29" si="2">SUM(B8:B28)</f>
        <v>4074493.5300000003</v>
      </c>
      <c r="C29" s="8">
        <f t="shared" si="2"/>
        <v>33066844260.990002</v>
      </c>
      <c r="D29" s="8">
        <f t="shared" si="2"/>
        <v>4855115.84</v>
      </c>
      <c r="E29" s="8">
        <f t="shared" si="2"/>
        <v>4580933620.3500004</v>
      </c>
      <c r="F29" s="8">
        <f t="shared" si="2"/>
        <v>8353141.6299999999</v>
      </c>
      <c r="G29" s="8">
        <f t="shared" si="2"/>
        <v>11657264.190000001</v>
      </c>
      <c r="H29" s="8">
        <f t="shared" si="2"/>
        <v>140005093.57999998</v>
      </c>
      <c r="I29" s="41">
        <f t="shared" si="2"/>
        <v>37816722990.110001</v>
      </c>
      <c r="J29" s="33">
        <v>684117029.64999998</v>
      </c>
      <c r="K29" s="33">
        <f t="shared" si="2"/>
        <v>10280418.230000002</v>
      </c>
      <c r="L29" s="33">
        <f t="shared" si="2"/>
        <v>28879774.490000002</v>
      </c>
      <c r="M29" s="33">
        <v>3760070.12</v>
      </c>
      <c r="N29" s="33">
        <v>80702</v>
      </c>
      <c r="O29" s="33">
        <v>53859394</v>
      </c>
      <c r="P29" s="46">
        <v>2371844561.9399996</v>
      </c>
      <c r="Q29" s="48">
        <f t="shared" si="1"/>
        <v>40969544940.540009</v>
      </c>
    </row>
    <row r="30" spans="1:17" s="5" customFormat="1" ht="15.75" x14ac:dyDescent="0.25">
      <c r="A30" s="1" t="s">
        <v>21</v>
      </c>
      <c r="B30" s="21">
        <f>4748.43+1700134.78</f>
        <v>1704883.21</v>
      </c>
      <c r="C30" s="21">
        <f>9825164.84+4602174290.73</f>
        <v>4611999455.5699997</v>
      </c>
      <c r="D30" s="21">
        <f>0.65+644239.32</f>
        <v>644239.97</v>
      </c>
      <c r="E30" s="21">
        <f>1461532.43+603058390.89</f>
        <v>604519923.31999993</v>
      </c>
      <c r="F30" s="21">
        <f>580.91+1010273.26</f>
        <v>1010854.17</v>
      </c>
      <c r="G30" s="21">
        <v>1758643.88</v>
      </c>
      <c r="H30" s="10">
        <f>21310.97+18983130.09</f>
        <v>19004441.059999999</v>
      </c>
      <c r="I30" s="40">
        <f>C30+D30+E30+F30+G30+B30+H30</f>
        <v>5240642441.1800003</v>
      </c>
      <c r="J30" s="30">
        <v>106164143.97999999</v>
      </c>
      <c r="K30" s="31">
        <f>59994.31+42203290.3+136719.68</f>
        <v>42400004.289999999</v>
      </c>
      <c r="L30" s="32"/>
      <c r="M30" s="29">
        <v>519752.56</v>
      </c>
      <c r="N30" s="29"/>
      <c r="O30" s="29">
        <v>9371791.8000000007</v>
      </c>
      <c r="P30" s="30">
        <v>433705794.14000005</v>
      </c>
      <c r="Q30" s="48">
        <f t="shared" si="1"/>
        <v>5832803927.9500008</v>
      </c>
    </row>
    <row r="31" spans="1:17" s="5" customFormat="1" ht="15.75" x14ac:dyDescent="0.25">
      <c r="A31" s="1" t="s">
        <v>22</v>
      </c>
      <c r="B31" s="21">
        <v>600998.64</v>
      </c>
      <c r="C31" s="21">
        <f>23072040.9+9326182787.67</f>
        <v>9349254828.5699997</v>
      </c>
      <c r="D31" s="21">
        <f>10.19+1050386.86</f>
        <v>1050397.05</v>
      </c>
      <c r="E31" s="21">
        <f>1999511.21+848416994.32</f>
        <v>850416505.53000009</v>
      </c>
      <c r="F31" s="21">
        <f>187+2049735.99</f>
        <v>2049922.99</v>
      </c>
      <c r="G31" s="21">
        <v>2071974.02</v>
      </c>
      <c r="H31" s="10">
        <f>17694+35428300.01</f>
        <v>35445994.009999998</v>
      </c>
      <c r="I31" s="40">
        <f>C31+D31+E31+F31+G31+B31+H31</f>
        <v>10240890620.809999</v>
      </c>
      <c r="J31" s="30">
        <v>137777731.44</v>
      </c>
      <c r="K31" s="31">
        <f>22042.47+15126202.41+42508.2</f>
        <v>15190753.08</v>
      </c>
      <c r="L31" s="32"/>
      <c r="M31" s="29">
        <v>838787.39000000013</v>
      </c>
      <c r="N31" s="29">
        <v>30280.799999999999</v>
      </c>
      <c r="O31" s="29">
        <v>14827897.4</v>
      </c>
      <c r="P31" s="30">
        <v>621622654.09000003</v>
      </c>
      <c r="Q31" s="48">
        <f t="shared" si="1"/>
        <v>11031178725.009998</v>
      </c>
    </row>
    <row r="32" spans="1:17" ht="15.75" x14ac:dyDescent="0.25">
      <c r="A32" s="6" t="s">
        <v>23</v>
      </c>
      <c r="B32" s="23">
        <f>9087.89+4599721.36</f>
        <v>4608809.25</v>
      </c>
      <c r="C32" s="23">
        <f>26481118.77+11693795796.98</f>
        <v>11720276915.75</v>
      </c>
      <c r="D32" s="23">
        <f>1062.65+1938291.67</f>
        <v>1939354.3199999998</v>
      </c>
      <c r="E32" s="23">
        <f>2593608.66+1312885630.73</f>
        <v>1315479239.3900001</v>
      </c>
      <c r="F32" s="23">
        <f>3021.13+3426218.35</f>
        <v>3429239.48</v>
      </c>
      <c r="G32" s="23">
        <f>5882.87+5259690.23</f>
        <v>5265573.1000000006</v>
      </c>
      <c r="H32" s="11">
        <f>54536.95+56523047.07</f>
        <v>56577584.020000003</v>
      </c>
      <c r="I32" s="40">
        <f>C32+D32+E32+F32+G32+B32+H32</f>
        <v>13107576715.309999</v>
      </c>
      <c r="J32" s="30">
        <v>263988629.97</v>
      </c>
      <c r="K32" s="34">
        <f>1835342.46+11493.58+8622170.4</f>
        <v>10469006.440000001</v>
      </c>
      <c r="L32" s="35"/>
      <c r="M32" s="36">
        <v>1786272.6800000002</v>
      </c>
      <c r="N32" s="36">
        <v>80561.600000000006</v>
      </c>
      <c r="O32" s="36">
        <v>22167828.84</v>
      </c>
      <c r="P32" s="30">
        <v>1068916792.9100001</v>
      </c>
      <c r="Q32" s="48">
        <f t="shared" si="1"/>
        <v>14474985807.75</v>
      </c>
    </row>
    <row r="33" spans="1:18" ht="15.75" x14ac:dyDescent="0.25">
      <c r="A33" s="6"/>
      <c r="B33" s="20"/>
      <c r="C33" s="23"/>
      <c r="D33" s="23"/>
      <c r="E33" s="23"/>
      <c r="F33" s="23"/>
      <c r="G33" s="23"/>
      <c r="H33" s="23"/>
      <c r="I33" s="42"/>
      <c r="J33" s="34"/>
      <c r="K33" s="34"/>
      <c r="L33" s="35">
        <v>12620509.66</v>
      </c>
      <c r="M33" s="35">
        <v>0</v>
      </c>
      <c r="N33" s="35"/>
      <c r="O33" s="35"/>
      <c r="P33" s="34">
        <v>160385148.88</v>
      </c>
      <c r="Q33" s="48">
        <f t="shared" si="1"/>
        <v>173005658.53999999</v>
      </c>
    </row>
    <row r="34" spans="1:18" x14ac:dyDescent="0.25">
      <c r="A34" s="13" t="s">
        <v>26</v>
      </c>
      <c r="B34" s="8">
        <f t="shared" ref="B34:L34" si="3">SUM(B30:B33)</f>
        <v>6914691.0999999996</v>
      </c>
      <c r="C34" s="8">
        <f t="shared" si="3"/>
        <v>25681531199.889999</v>
      </c>
      <c r="D34" s="8">
        <f t="shared" si="3"/>
        <v>3633991.34</v>
      </c>
      <c r="E34" s="8">
        <f t="shared" si="3"/>
        <v>2770415668.2399998</v>
      </c>
      <c r="F34" s="8">
        <f t="shared" si="3"/>
        <v>6490016.6400000006</v>
      </c>
      <c r="G34" s="8">
        <f t="shared" si="3"/>
        <v>9096191</v>
      </c>
      <c r="H34" s="8">
        <f t="shared" si="3"/>
        <v>111028019.09</v>
      </c>
      <c r="I34" s="41">
        <f>SUM(I30:I33)</f>
        <v>28589109777.299999</v>
      </c>
      <c r="J34" s="33">
        <v>507930505.38999999</v>
      </c>
      <c r="K34" s="33">
        <f t="shared" si="3"/>
        <v>68059763.810000002</v>
      </c>
      <c r="L34" s="33">
        <f t="shared" si="3"/>
        <v>12620509.66</v>
      </c>
      <c r="M34" s="33">
        <v>3144812.63</v>
      </c>
      <c r="N34" s="33">
        <v>110842.4</v>
      </c>
      <c r="O34" s="33">
        <v>46367518.040000007</v>
      </c>
      <c r="P34" s="46">
        <v>2284630390.0199995</v>
      </c>
      <c r="Q34" s="48">
        <f t="shared" si="1"/>
        <v>31511974119.250004</v>
      </c>
    </row>
    <row r="35" spans="1:18" ht="31.5" customHeight="1" thickBot="1" x14ac:dyDescent="0.3">
      <c r="A35" s="16" t="s">
        <v>0</v>
      </c>
      <c r="B35" s="37">
        <f t="shared" ref="B35:L35" si="4">B29+B34</f>
        <v>10989184.629999999</v>
      </c>
      <c r="C35" s="37">
        <f t="shared" si="4"/>
        <v>58748375460.880005</v>
      </c>
      <c r="D35" s="37">
        <f t="shared" si="4"/>
        <v>8489107.1799999997</v>
      </c>
      <c r="E35" s="37">
        <f t="shared" si="4"/>
        <v>7351349288.5900002</v>
      </c>
      <c r="F35" s="37">
        <f t="shared" si="4"/>
        <v>14843158.27</v>
      </c>
      <c r="G35" s="37">
        <f t="shared" si="4"/>
        <v>20753455.190000001</v>
      </c>
      <c r="H35" s="37">
        <f t="shared" si="4"/>
        <v>251033112.66999999</v>
      </c>
      <c r="I35" s="43">
        <f>I29+I34</f>
        <v>66405832767.410004</v>
      </c>
      <c r="J35" s="37">
        <v>1192047535.04</v>
      </c>
      <c r="K35" s="37">
        <f t="shared" si="4"/>
        <v>78340182.040000007</v>
      </c>
      <c r="L35" s="37">
        <f t="shared" si="4"/>
        <v>41500284.150000006</v>
      </c>
      <c r="M35" s="37">
        <v>6904882.7500000009</v>
      </c>
      <c r="N35" s="37">
        <v>191544.4</v>
      </c>
      <c r="O35" s="37">
        <v>100226912.04000001</v>
      </c>
      <c r="P35" s="45">
        <v>4656474951.9599991</v>
      </c>
      <c r="Q35" s="48">
        <f>I35+J35+K35+L35+N35+P35+O35+M35</f>
        <v>72481519059.789993</v>
      </c>
    </row>
    <row r="37" spans="1:18" x14ac:dyDescent="0.25">
      <c r="D37" s="38"/>
      <c r="E37" s="38"/>
      <c r="F37" s="38"/>
      <c r="G37" s="38"/>
      <c r="H37" s="38"/>
      <c r="I37" s="38"/>
      <c r="J37" s="18"/>
      <c r="K37" s="17"/>
      <c r="N37" s="39" t="s">
        <v>29</v>
      </c>
      <c r="O37" s="38"/>
    </row>
    <row r="38" spans="1:18" s="60" customFormat="1" ht="51.75" customHeight="1" x14ac:dyDescent="0.25">
      <c r="A38" s="3"/>
      <c r="B38" s="3"/>
      <c r="C38" s="3"/>
      <c r="D38" s="15"/>
      <c r="E38" s="15"/>
      <c r="F38" s="15"/>
      <c r="G38" s="15"/>
      <c r="H38" s="15"/>
      <c r="I38" s="58"/>
      <c r="J38" s="58"/>
      <c r="K38" s="58"/>
      <c r="L38" s="58"/>
      <c r="M38" s="58"/>
      <c r="N38" s="64" t="s">
        <v>35</v>
      </c>
      <c r="O38" s="65"/>
      <c r="P38" s="66"/>
      <c r="Q38" s="59">
        <v>76099408.079999998</v>
      </c>
    </row>
    <row r="39" spans="1:18" s="60" customFormat="1" ht="61.5" customHeight="1" x14ac:dyDescent="0.25">
      <c r="A39" s="3"/>
      <c r="B39" s="3"/>
      <c r="C39" s="3"/>
      <c r="D39" s="15"/>
      <c r="E39" s="15"/>
      <c r="F39" s="15"/>
      <c r="G39" s="15"/>
      <c r="H39" s="15"/>
      <c r="I39" s="58"/>
      <c r="J39" s="58"/>
      <c r="K39" s="58"/>
      <c r="L39" s="58"/>
      <c r="M39" s="58"/>
      <c r="N39" s="64" t="s">
        <v>36</v>
      </c>
      <c r="O39" s="65"/>
      <c r="P39" s="66"/>
      <c r="Q39" s="59">
        <v>5227017.3499999996</v>
      </c>
      <c r="R39" s="62"/>
    </row>
    <row r="40" spans="1:18" s="60" customFormat="1" ht="28.5" customHeight="1" x14ac:dyDescent="0.25">
      <c r="A40" s="3"/>
      <c r="B40" s="3"/>
      <c r="C40" s="3"/>
      <c r="D40" s="3"/>
      <c r="E40" s="3"/>
      <c r="F40" s="3"/>
      <c r="G40" s="3"/>
      <c r="H40" s="3"/>
      <c r="I40" s="58"/>
      <c r="J40" s="58"/>
      <c r="K40" s="58"/>
      <c r="L40" s="58"/>
      <c r="M40" s="58"/>
      <c r="N40" s="67" t="s">
        <v>43</v>
      </c>
      <c r="O40" s="68"/>
      <c r="P40" s="69"/>
      <c r="Q40" s="59">
        <v>2241704.62</v>
      </c>
      <c r="R40" s="62"/>
    </row>
    <row r="41" spans="1:18" s="60" customFormat="1" ht="15.75" x14ac:dyDescent="0.25">
      <c r="A41" s="3"/>
      <c r="B41" s="3"/>
      <c r="C41" s="3"/>
      <c r="D41" s="3"/>
      <c r="E41" s="3"/>
      <c r="F41" s="3"/>
      <c r="G41" s="3"/>
      <c r="H41" s="3"/>
      <c r="I41" s="58"/>
      <c r="J41" s="58"/>
      <c r="K41" s="58"/>
      <c r="L41" s="58"/>
      <c r="M41" s="58"/>
      <c r="N41" s="67" t="s">
        <v>61</v>
      </c>
      <c r="O41" s="68"/>
      <c r="P41" s="69"/>
      <c r="Q41" s="59">
        <v>54720263.719999999</v>
      </c>
      <c r="R41" s="62"/>
    </row>
    <row r="42" spans="1:18" s="60" customFormat="1" ht="15.75" x14ac:dyDescent="0.25">
      <c r="A42" s="3"/>
      <c r="B42" s="3"/>
      <c r="C42" s="3"/>
      <c r="D42" s="3"/>
      <c r="E42" s="3"/>
      <c r="F42" s="3"/>
      <c r="G42" s="3"/>
      <c r="H42" s="3"/>
      <c r="I42" s="58"/>
      <c r="J42" s="58"/>
      <c r="K42" s="58"/>
      <c r="L42" s="58"/>
      <c r="M42" s="58"/>
      <c r="N42" s="67" t="s">
        <v>62</v>
      </c>
      <c r="O42" s="68"/>
      <c r="P42" s="69"/>
      <c r="Q42" s="59">
        <v>10000</v>
      </c>
    </row>
    <row r="43" spans="1:18" s="60" customFormat="1" x14ac:dyDescent="0.25">
      <c r="A43" s="3"/>
      <c r="B43" s="3"/>
      <c r="C43" s="3"/>
      <c r="D43" s="3"/>
      <c r="E43" s="3"/>
      <c r="F43" s="3"/>
      <c r="G43" s="3"/>
      <c r="H43" s="3"/>
      <c r="I43" s="58"/>
      <c r="J43" s="58"/>
      <c r="K43" s="58"/>
      <c r="L43" s="58"/>
      <c r="M43" s="58"/>
      <c r="N43" s="64" t="s">
        <v>47</v>
      </c>
      <c r="O43" s="65"/>
      <c r="P43" s="66"/>
      <c r="Q43" s="59">
        <v>382000</v>
      </c>
    </row>
    <row r="44" spans="1:18" s="60" customFormat="1" x14ac:dyDescent="0.25">
      <c r="A44" s="3"/>
      <c r="B44" s="3"/>
      <c r="C44" s="3"/>
      <c r="D44" s="3"/>
      <c r="E44" s="3"/>
      <c r="F44" s="3"/>
      <c r="G44" s="3"/>
      <c r="H44" s="3"/>
      <c r="I44" s="58"/>
      <c r="J44" s="58"/>
      <c r="K44" s="58"/>
      <c r="L44" s="58"/>
      <c r="M44" s="58"/>
      <c r="N44" s="64" t="s">
        <v>66</v>
      </c>
      <c r="O44" s="65"/>
      <c r="P44" s="66"/>
      <c r="Q44" s="63">
        <v>1094309.6499999999</v>
      </c>
    </row>
    <row r="45" spans="1:18" s="60" customFormat="1" x14ac:dyDescent="0.25">
      <c r="A45" s="3"/>
      <c r="B45" s="3"/>
      <c r="C45" s="3"/>
      <c r="D45" s="3"/>
      <c r="E45" s="3"/>
      <c r="F45" s="3"/>
      <c r="G45" s="3"/>
      <c r="H45" s="3"/>
      <c r="I45" s="58"/>
      <c r="J45" s="58"/>
      <c r="K45" s="58"/>
      <c r="L45" s="58"/>
      <c r="M45" s="58"/>
      <c r="N45" s="67" t="s">
        <v>44</v>
      </c>
      <c r="O45" s="68"/>
      <c r="P45" s="69"/>
      <c r="Q45" s="59">
        <f>2755305149.22+330652</f>
        <v>2755635801.2199998</v>
      </c>
    </row>
    <row r="46" spans="1:18" s="60" customFormat="1" ht="25.5" customHeight="1" x14ac:dyDescent="0.25">
      <c r="A46" s="3"/>
      <c r="B46" s="3"/>
      <c r="C46" s="3"/>
      <c r="D46" s="3"/>
      <c r="E46" s="3"/>
      <c r="F46" s="3"/>
      <c r="G46" s="3"/>
      <c r="H46" s="3"/>
      <c r="I46" s="58"/>
      <c r="J46" s="58"/>
      <c r="K46" s="58"/>
      <c r="L46" s="58"/>
      <c r="M46" s="58"/>
      <c r="N46" s="67" t="s">
        <v>45</v>
      </c>
      <c r="O46" s="68"/>
      <c r="P46" s="69"/>
      <c r="Q46" s="59">
        <v>1048428166.09</v>
      </c>
    </row>
    <row r="47" spans="1:18" s="60" customFormat="1" x14ac:dyDescent="0.25">
      <c r="A47" s="3"/>
      <c r="B47" s="3"/>
      <c r="C47" s="3"/>
      <c r="D47" s="3"/>
      <c r="E47" s="3"/>
      <c r="F47" s="3"/>
      <c r="G47" s="3"/>
      <c r="H47" s="3"/>
      <c r="I47" s="58"/>
      <c r="J47" s="58"/>
      <c r="K47" s="58"/>
      <c r="L47" s="58"/>
      <c r="M47" s="58"/>
      <c r="N47" s="64" t="s">
        <v>46</v>
      </c>
      <c r="O47" s="65"/>
      <c r="P47" s="66"/>
      <c r="Q47" s="59">
        <v>24086988117.810001</v>
      </c>
    </row>
    <row r="48" spans="1:18" s="60" customFormat="1" ht="39.75" customHeight="1" x14ac:dyDescent="0.25">
      <c r="A48" s="3"/>
      <c r="B48" s="3"/>
      <c r="C48" s="3"/>
      <c r="D48" s="3"/>
      <c r="E48" s="3"/>
      <c r="F48" s="3"/>
      <c r="G48" s="3"/>
      <c r="H48" s="3"/>
      <c r="I48" s="58"/>
      <c r="J48" s="58"/>
      <c r="K48" s="58"/>
      <c r="L48" s="58"/>
      <c r="M48" s="58"/>
      <c r="N48" s="64" t="s">
        <v>48</v>
      </c>
      <c r="O48" s="65"/>
      <c r="P48" s="66"/>
      <c r="Q48" s="61">
        <v>10154181.970000001</v>
      </c>
    </row>
    <row r="49" spans="1:17" s="57" customFormat="1" ht="39.75" customHeight="1" x14ac:dyDescent="0.25">
      <c r="A49" s="56"/>
      <c r="B49" s="56"/>
      <c r="C49" s="56"/>
      <c r="D49" s="56"/>
      <c r="E49" s="56"/>
      <c r="F49" s="56"/>
      <c r="G49" s="56"/>
      <c r="H49" s="56"/>
      <c r="I49" s="7"/>
      <c r="J49" s="7"/>
      <c r="K49" s="7"/>
      <c r="L49" s="7"/>
      <c r="M49" s="7"/>
      <c r="N49" s="64" t="s">
        <v>49</v>
      </c>
      <c r="O49" s="65"/>
      <c r="P49" s="66"/>
      <c r="Q49" s="61">
        <v>91433000</v>
      </c>
    </row>
    <row r="50" spans="1:17" s="60" customFormat="1" ht="39.75" customHeight="1" x14ac:dyDescent="0.25">
      <c r="A50" s="3"/>
      <c r="B50" s="3"/>
      <c r="C50" s="3"/>
      <c r="D50" s="3"/>
      <c r="E50" s="3"/>
      <c r="F50" s="3"/>
      <c r="G50" s="3"/>
      <c r="H50" s="3"/>
      <c r="I50" s="58"/>
      <c r="J50" s="58"/>
      <c r="K50" s="58"/>
      <c r="L50" s="58"/>
      <c r="M50" s="58"/>
      <c r="N50" s="64" t="s">
        <v>59</v>
      </c>
      <c r="O50" s="65"/>
      <c r="P50" s="66"/>
      <c r="Q50" s="52">
        <v>1263046306.5799999</v>
      </c>
    </row>
    <row r="51" spans="1:17" s="60" customFormat="1" ht="34.5" customHeight="1" x14ac:dyDescent="0.25">
      <c r="A51" s="3"/>
      <c r="B51" s="3"/>
      <c r="C51" s="3"/>
      <c r="D51" s="3"/>
      <c r="E51" s="3"/>
      <c r="F51" s="3"/>
      <c r="G51" s="3"/>
      <c r="H51" s="3"/>
      <c r="I51" s="58"/>
      <c r="J51" s="58"/>
      <c r="K51" s="58"/>
      <c r="L51" s="58"/>
      <c r="M51" s="58"/>
      <c r="N51" s="64" t="s">
        <v>50</v>
      </c>
      <c r="O51" s="65"/>
      <c r="P51" s="66"/>
      <c r="Q51" s="61">
        <v>157566186.22</v>
      </c>
    </row>
    <row r="52" spans="1:17" s="60" customFormat="1" ht="30" customHeight="1" x14ac:dyDescent="0.25">
      <c r="A52" s="3"/>
      <c r="B52" s="3"/>
      <c r="C52" s="3"/>
      <c r="D52" s="3"/>
      <c r="E52" s="3"/>
      <c r="F52" s="3"/>
      <c r="G52" s="3"/>
      <c r="H52" s="3"/>
      <c r="I52" s="58"/>
      <c r="J52" s="58"/>
      <c r="K52" s="58"/>
      <c r="L52" s="58"/>
      <c r="M52" s="58"/>
      <c r="N52" s="64" t="s">
        <v>51</v>
      </c>
      <c r="O52" s="65"/>
      <c r="P52" s="66"/>
      <c r="Q52" s="61">
        <v>847141413.87</v>
      </c>
    </row>
    <row r="53" spans="1:17" s="60" customFormat="1" ht="34.5" customHeight="1" x14ac:dyDescent="0.25">
      <c r="A53" s="3"/>
      <c r="B53" s="3"/>
      <c r="C53" s="3"/>
      <c r="D53" s="3"/>
      <c r="E53" s="3"/>
      <c r="F53" s="3"/>
      <c r="G53" s="3"/>
      <c r="H53" s="3"/>
      <c r="I53" s="58"/>
      <c r="J53" s="58"/>
      <c r="K53" s="58"/>
      <c r="L53" s="58"/>
      <c r="M53" s="58"/>
      <c r="N53" s="64" t="s">
        <v>52</v>
      </c>
      <c r="O53" s="65"/>
      <c r="P53" s="66"/>
      <c r="Q53" s="61">
        <v>10186692.58</v>
      </c>
    </row>
    <row r="54" spans="1:17" s="60" customFormat="1" ht="39.75" customHeight="1" x14ac:dyDescent="0.25">
      <c r="A54" s="3"/>
      <c r="B54" s="3"/>
      <c r="C54" s="3"/>
      <c r="D54" s="3"/>
      <c r="E54" s="3"/>
      <c r="F54" s="3"/>
      <c r="G54" s="3"/>
      <c r="H54" s="3"/>
      <c r="I54" s="58"/>
      <c r="J54" s="58"/>
      <c r="K54" s="58"/>
      <c r="L54" s="58"/>
      <c r="M54" s="58"/>
      <c r="N54" s="64" t="s">
        <v>53</v>
      </c>
      <c r="O54" s="65"/>
      <c r="P54" s="66"/>
      <c r="Q54" s="61">
        <v>88435570.569999993</v>
      </c>
    </row>
    <row r="55" spans="1:17" s="60" customFormat="1" ht="27.75" customHeight="1" x14ac:dyDescent="0.25">
      <c r="A55" s="3"/>
      <c r="B55" s="3"/>
      <c r="C55" s="3"/>
      <c r="D55" s="3"/>
      <c r="E55" s="3"/>
      <c r="F55" s="3"/>
      <c r="G55" s="3"/>
      <c r="H55" s="3"/>
      <c r="I55" s="58"/>
      <c r="J55" s="58"/>
      <c r="K55" s="58"/>
      <c r="L55" s="58"/>
      <c r="M55" s="58"/>
      <c r="N55" s="64" t="s">
        <v>54</v>
      </c>
      <c r="O55" s="65"/>
      <c r="P55" s="66"/>
      <c r="Q55" s="61">
        <v>1449630520</v>
      </c>
    </row>
    <row r="56" spans="1:17" s="60" customFormat="1" ht="39.75" customHeight="1" x14ac:dyDescent="0.25">
      <c r="A56" s="3"/>
      <c r="B56" s="3"/>
      <c r="C56" s="3"/>
      <c r="D56" s="3"/>
      <c r="E56" s="3"/>
      <c r="F56" s="3"/>
      <c r="G56" s="3"/>
      <c r="H56" s="3"/>
      <c r="I56" s="58"/>
      <c r="J56" s="58"/>
      <c r="K56" s="58"/>
      <c r="L56" s="58"/>
      <c r="M56" s="58"/>
      <c r="N56" s="64" t="s">
        <v>55</v>
      </c>
      <c r="O56" s="65"/>
      <c r="P56" s="66"/>
      <c r="Q56" s="61">
        <v>919434349</v>
      </c>
    </row>
    <row r="57" spans="1:17" s="60" customFormat="1" ht="39.75" customHeight="1" x14ac:dyDescent="0.25">
      <c r="A57" s="3"/>
      <c r="B57" s="3"/>
      <c r="C57" s="3"/>
      <c r="D57" s="3"/>
      <c r="E57" s="3"/>
      <c r="F57" s="3"/>
      <c r="G57" s="3"/>
      <c r="H57" s="3"/>
      <c r="I57" s="58"/>
      <c r="J57" s="58"/>
      <c r="K57" s="58"/>
      <c r="L57" s="58"/>
      <c r="M57" s="58"/>
      <c r="N57" s="64" t="s">
        <v>56</v>
      </c>
      <c r="O57" s="65"/>
      <c r="P57" s="66"/>
      <c r="Q57" s="61">
        <v>2422698177.0700002</v>
      </c>
    </row>
    <row r="58" spans="1:17" s="60" customFormat="1" ht="39.75" customHeight="1" x14ac:dyDescent="0.25">
      <c r="A58" s="3"/>
      <c r="B58" s="3"/>
      <c r="C58" s="3"/>
      <c r="D58" s="3"/>
      <c r="E58" s="3"/>
      <c r="F58" s="3"/>
      <c r="G58" s="3"/>
      <c r="H58" s="3"/>
      <c r="I58" s="58"/>
      <c r="J58" s="58"/>
      <c r="K58" s="58"/>
      <c r="L58" s="58"/>
      <c r="M58" s="58"/>
      <c r="N58" s="64" t="s">
        <v>57</v>
      </c>
      <c r="O58" s="65"/>
      <c r="P58" s="66"/>
      <c r="Q58" s="61">
        <v>22241048.809999999</v>
      </c>
    </row>
    <row r="59" spans="1:17" x14ac:dyDescent="0.25">
      <c r="N59" s="64" t="s">
        <v>58</v>
      </c>
      <c r="O59" s="65"/>
      <c r="P59" s="66"/>
      <c r="Q59" s="61">
        <v>1027194879.59</v>
      </c>
    </row>
    <row r="60" spans="1:17" x14ac:dyDescent="0.25">
      <c r="N60" s="55" t="s">
        <v>68</v>
      </c>
      <c r="O60" s="53"/>
      <c r="P60" s="54"/>
      <c r="Q60" s="49">
        <f>SUM(Q38:Q59)+Q35</f>
        <v>108821508174.59</v>
      </c>
    </row>
  </sheetData>
  <mergeCells count="24">
    <mergeCell ref="N45:P45"/>
    <mergeCell ref="N46:P46"/>
    <mergeCell ref="N47:P47"/>
    <mergeCell ref="N44:P44"/>
    <mergeCell ref="A3:L3"/>
    <mergeCell ref="I4:L4"/>
    <mergeCell ref="N58:P58"/>
    <mergeCell ref="N59:P59"/>
    <mergeCell ref="N48:P48"/>
    <mergeCell ref="N49:P49"/>
    <mergeCell ref="N50:P50"/>
    <mergeCell ref="N51:P51"/>
    <mergeCell ref="N52:P52"/>
    <mergeCell ref="N53:P53"/>
    <mergeCell ref="N54:P54"/>
    <mergeCell ref="N55:P55"/>
    <mergeCell ref="N56:P56"/>
    <mergeCell ref="N57:P57"/>
    <mergeCell ref="N38:P38"/>
    <mergeCell ref="N39:P39"/>
    <mergeCell ref="N40:P40"/>
    <mergeCell ref="N42:P42"/>
    <mergeCell ref="N43:P43"/>
    <mergeCell ref="N41:P4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Пенсии ФСД ЕДВ</vt:lpstr>
      <vt:lpstr>'Пенсии ФСД ЕДВ'!Область_печати</vt:lpstr>
    </vt:vector>
  </TitlesOfParts>
  <Company>opfr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Л.П.</dc:creator>
  <cp:lastModifiedBy>Арамхиева Наталья Зориктуевна</cp:lastModifiedBy>
  <cp:lastPrinted>2023-01-26T09:26:33Z</cp:lastPrinted>
  <dcterms:created xsi:type="dcterms:W3CDTF">2014-07-10T06:51:25Z</dcterms:created>
  <dcterms:modified xsi:type="dcterms:W3CDTF">2026-03-25T06:09:16Z</dcterms:modified>
</cp:coreProperties>
</file>